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8340" activeTab="0"/>
  </bookViews>
  <sheets>
    <sheet name="calculo 2019" sheetId="1" r:id="rId1"/>
  </sheets>
  <definedNames>
    <definedName name="_xlnm.Print_Area" localSheetId="0">'calculo 2019'!$A$1:$L$56</definedName>
  </definedNames>
  <calcPr fullCalcOnLoad="1"/>
</workbook>
</file>

<file path=xl/sharedStrings.xml><?xml version="1.0" encoding="utf-8"?>
<sst xmlns="http://schemas.openxmlformats.org/spreadsheetml/2006/main" count="55" uniqueCount="48">
  <si>
    <t>Bases</t>
  </si>
  <si>
    <t>R$</t>
  </si>
  <si>
    <t>DESCRIÇÃO</t>
  </si>
  <si>
    <t>Lucro Real FAC</t>
  </si>
  <si>
    <t>Lucro Presumido ESC</t>
  </si>
  <si>
    <t>Lucro Real ESC</t>
  </si>
  <si>
    <t>Valor de Face</t>
  </si>
  <si>
    <t>prazo médio (dias)</t>
  </si>
  <si>
    <t>Ad valorem</t>
  </si>
  <si>
    <t>Receita</t>
  </si>
  <si>
    <t>Valor Líquido</t>
  </si>
  <si>
    <t>Despesas Folha Pagamento</t>
  </si>
  <si>
    <t>Outras Despesas</t>
  </si>
  <si>
    <t>Lucro Líquido antes de impostos</t>
  </si>
  <si>
    <t>PIS e COFINS</t>
  </si>
  <si>
    <t>Alíquota</t>
  </si>
  <si>
    <t>Fator de Redução</t>
  </si>
  <si>
    <t>ISS</t>
  </si>
  <si>
    <t>Aliquota</t>
  </si>
  <si>
    <t>Lucro Líquido antes IR/CSLL</t>
  </si>
  <si>
    <t>Imposto de Renda</t>
  </si>
  <si>
    <t>Total IR</t>
  </si>
  <si>
    <t>CSLL</t>
  </si>
  <si>
    <t xml:space="preserve"> IR+CSLL Simples</t>
  </si>
  <si>
    <t>TOTAL IR+CSLL</t>
  </si>
  <si>
    <t>LUCRO LIQUIDO CONTABIL</t>
  </si>
  <si>
    <t>Total de impostos sem IOF</t>
  </si>
  <si>
    <t>COMPOSIÇÃ0 CUSTO TRIBUTÁRIO</t>
  </si>
  <si>
    <t>IOF</t>
  </si>
  <si>
    <t>PIS E COFINS</t>
  </si>
  <si>
    <t>IR + CSLL</t>
  </si>
  <si>
    <t>SUBTOTAL</t>
  </si>
  <si>
    <t>COMPARATIVO TRIBUTÁRIO ENTRE FACTORING X ESC</t>
  </si>
  <si>
    <t>TOTAL IMPOSTOS</t>
  </si>
  <si>
    <t xml:space="preserve">Fator  </t>
  </si>
  <si>
    <t>IOF/CPMF</t>
  </si>
  <si>
    <t>Se empresas não tributadas pelo SIMPLES o IOF é de 0,004167 ao dia</t>
  </si>
  <si>
    <t>Total de Impostos com IOF</t>
  </si>
  <si>
    <t>IOF/dia (**)</t>
  </si>
  <si>
    <t>(**) IOF para empresas tributadas pelo SIMPLES = 0,001389 ao dia</t>
  </si>
  <si>
    <t>Lucro Presumido ESC (*)</t>
  </si>
  <si>
    <t xml:space="preserve">Lucro Real FAC 
</t>
  </si>
  <si>
    <t xml:space="preserve">Lucro Real ESC 
</t>
  </si>
  <si>
    <t xml:space="preserve">Lucro Real FAC </t>
  </si>
  <si>
    <t>Base de Cálculo Estimativa/Presunção (***)</t>
  </si>
  <si>
    <t>(*) Lucro Presumido a Apuração de IR/CSLL é Trimestral, mas PIS/COFINS é mensal</t>
  </si>
  <si>
    <t xml:space="preserve">(***) Lucro Real possibilidade de apresentação da Balanço de Suspensão/Redução Mensal com Base no Lucro Real apurado ou pagamento por estimativa </t>
  </si>
  <si>
    <t>Excedente a 20MIL/mês ou 60MIL/trim</t>
  </si>
</sst>
</file>

<file path=xl/styles.xml><?xml version="1.0" encoding="utf-8"?>
<styleSheet xmlns="http://schemas.openxmlformats.org/spreadsheetml/2006/main">
  <numFmts count="3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"/>
    <numFmt numFmtId="190" formatCode="&quot;R$&quot;\ #,##0.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26"/>
      <color indexed="8"/>
      <name val="Calibri"/>
      <family val="2"/>
    </font>
    <font>
      <b/>
      <sz val="20"/>
      <color indexed="18"/>
      <name val="Calibri"/>
      <family val="2"/>
    </font>
    <font>
      <b/>
      <sz val="18"/>
      <color indexed="8"/>
      <name val="Calibri"/>
      <family val="2"/>
    </font>
    <font>
      <b/>
      <sz val="19"/>
      <color indexed="18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1" fillId="16" borderId="5" applyNumberFormat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0" fillId="25" borderId="10" xfId="0" applyFill="1" applyBorder="1" applyAlignment="1">
      <alignment/>
    </xf>
    <xf numFmtId="10" fontId="0" fillId="25" borderId="10" xfId="50" applyNumberFormat="1" applyFont="1" applyFill="1" applyBorder="1" applyAlignment="1">
      <alignment/>
    </xf>
    <xf numFmtId="171" fontId="0" fillId="25" borderId="10" xfId="0" applyNumberFormat="1" applyFill="1" applyBorder="1" applyAlignment="1">
      <alignment/>
    </xf>
    <xf numFmtId="188" fontId="0" fillId="25" borderId="10" xfId="0" applyNumberFormat="1" applyFill="1" applyBorder="1" applyAlignment="1">
      <alignment/>
    </xf>
    <xf numFmtId="9" fontId="0" fillId="25" borderId="10" xfId="0" applyNumberFormat="1" applyFill="1" applyBorder="1" applyAlignment="1">
      <alignment/>
    </xf>
    <xf numFmtId="9" fontId="0" fillId="25" borderId="10" xfId="50" applyFont="1" applyFill="1" applyBorder="1" applyAlignment="1">
      <alignment/>
    </xf>
    <xf numFmtId="0" fontId="0" fillId="25" borderId="11" xfId="0" applyFill="1" applyBorder="1" applyAlignment="1">
      <alignment/>
    </xf>
    <xf numFmtId="171" fontId="0" fillId="26" borderId="10" xfId="62" applyFont="1" applyFill="1" applyBorder="1" applyAlignment="1" applyProtection="1">
      <alignment/>
      <protection locked="0"/>
    </xf>
    <xf numFmtId="0" fontId="0" fillId="26" borderId="10" xfId="0" applyFill="1" applyBorder="1" applyAlignment="1" applyProtection="1">
      <alignment/>
      <protection locked="0"/>
    </xf>
    <xf numFmtId="10" fontId="0" fillId="26" borderId="10" xfId="50" applyNumberFormat="1" applyFont="1" applyFill="1" applyBorder="1" applyAlignment="1" applyProtection="1">
      <alignment/>
      <protection locked="0"/>
    </xf>
    <xf numFmtId="188" fontId="0" fillId="26" borderId="10" xfId="0" applyNumberFormat="1" applyFill="1" applyBorder="1" applyAlignment="1" applyProtection="1">
      <alignment/>
      <protection locked="0"/>
    </xf>
    <xf numFmtId="9" fontId="0" fillId="26" borderId="10" xfId="0" applyNumberFormat="1" applyFill="1" applyBorder="1" applyAlignment="1" applyProtection="1">
      <alignment/>
      <protection locked="0"/>
    </xf>
    <xf numFmtId="9" fontId="0" fillId="26" borderId="10" xfId="50" applyFont="1" applyFill="1" applyBorder="1" applyAlignment="1" applyProtection="1">
      <alignment/>
      <protection locked="0"/>
    </xf>
    <xf numFmtId="10" fontId="0" fillId="25" borderId="12" xfId="50" applyNumberFormat="1" applyFont="1" applyFill="1" applyBorder="1" applyAlignment="1">
      <alignment/>
    </xf>
    <xf numFmtId="10" fontId="0" fillId="25" borderId="11" xfId="50" applyNumberFormat="1" applyFont="1" applyFill="1" applyBorder="1" applyAlignment="1">
      <alignment/>
    </xf>
    <xf numFmtId="10" fontId="18" fillId="25" borderId="13" xfId="50" applyNumberFormat="1" applyFont="1" applyFill="1" applyBorder="1" applyAlignment="1">
      <alignment/>
    </xf>
    <xf numFmtId="9" fontId="18" fillId="25" borderId="13" xfId="0" applyNumberFormat="1" applyFont="1" applyFill="1" applyBorder="1" applyAlignment="1">
      <alignment/>
    </xf>
    <xf numFmtId="171" fontId="0" fillId="25" borderId="11" xfId="0" applyNumberFormat="1" applyFill="1" applyBorder="1" applyAlignment="1">
      <alignment/>
    </xf>
    <xf numFmtId="10" fontId="0" fillId="25" borderId="14" xfId="50" applyNumberFormat="1" applyFont="1" applyFill="1" applyBorder="1" applyAlignment="1">
      <alignment/>
    </xf>
    <xf numFmtId="0" fontId="0" fillId="25" borderId="15" xfId="0" applyFill="1" applyBorder="1" applyAlignment="1">
      <alignment/>
    </xf>
    <xf numFmtId="10" fontId="0" fillId="25" borderId="15" xfId="50" applyNumberFormat="1" applyFont="1" applyFill="1" applyBorder="1" applyAlignment="1">
      <alignment/>
    </xf>
    <xf numFmtId="0" fontId="22" fillId="24" borderId="10" xfId="0" applyFont="1" applyFill="1" applyBorder="1" applyAlignment="1">
      <alignment/>
    </xf>
    <xf numFmtId="10" fontId="22" fillId="24" borderId="10" xfId="0" applyNumberFormat="1" applyFont="1" applyFill="1" applyBorder="1" applyAlignment="1">
      <alignment/>
    </xf>
    <xf numFmtId="0" fontId="20" fillId="25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/>
    </xf>
    <xf numFmtId="0" fontId="20" fillId="8" borderId="11" xfId="0" applyFont="1" applyFill="1" applyBorder="1" applyAlignment="1">
      <alignment horizontal="center" vertical="center" wrapText="1"/>
    </xf>
    <xf numFmtId="171" fontId="0" fillId="8" borderId="10" xfId="62" applyFont="1" applyFill="1" applyBorder="1" applyAlignment="1">
      <alignment/>
    </xf>
    <xf numFmtId="171" fontId="0" fillId="8" borderId="16" xfId="62" applyFont="1" applyFill="1" applyBorder="1" applyAlignment="1">
      <alignment/>
    </xf>
    <xf numFmtId="171" fontId="0" fillId="8" borderId="10" xfId="0" applyNumberFormat="1" applyFill="1" applyBorder="1" applyAlignment="1">
      <alignment/>
    </xf>
    <xf numFmtId="171" fontId="0" fillId="8" borderId="12" xfId="62" applyFont="1" applyFill="1" applyBorder="1" applyAlignment="1">
      <alignment/>
    </xf>
    <xf numFmtId="171" fontId="0" fillId="8" borderId="17" xfId="62" applyFont="1" applyFill="1" applyBorder="1" applyAlignment="1">
      <alignment/>
    </xf>
    <xf numFmtId="171" fontId="18" fillId="8" borderId="13" xfId="62" applyFont="1" applyFill="1" applyBorder="1" applyAlignment="1">
      <alignment/>
    </xf>
    <xf numFmtId="171" fontId="0" fillId="8" borderId="11" xfId="62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7" xfId="0" applyFill="1" applyBorder="1" applyAlignment="1">
      <alignment/>
    </xf>
    <xf numFmtId="171" fontId="0" fillId="8" borderId="16" xfId="0" applyNumberFormat="1" applyFill="1" applyBorder="1" applyAlignment="1">
      <alignment/>
    </xf>
    <xf numFmtId="171" fontId="18" fillId="8" borderId="19" xfId="62" applyFont="1" applyFill="1" applyBorder="1" applyAlignment="1">
      <alignment/>
    </xf>
    <xf numFmtId="171" fontId="0" fillId="8" borderId="15" xfId="62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0" xfId="0" applyFill="1" applyBorder="1" applyAlignment="1">
      <alignment/>
    </xf>
    <xf numFmtId="171" fontId="18" fillId="8" borderId="13" xfId="0" applyNumberFormat="1" applyFont="1" applyFill="1" applyBorder="1" applyAlignment="1">
      <alignment/>
    </xf>
    <xf numFmtId="0" fontId="18" fillId="4" borderId="21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27" fillId="4" borderId="24" xfId="0" applyFont="1" applyFill="1" applyBorder="1" applyAlignment="1">
      <alignment horizontal="left"/>
    </xf>
    <xf numFmtId="0" fontId="0" fillId="4" borderId="23" xfId="0" applyFont="1" applyFill="1" applyBorder="1" applyAlignment="1">
      <alignment/>
    </xf>
    <xf numFmtId="0" fontId="28" fillId="4" borderId="21" xfId="0" applyFont="1" applyFill="1" applyBorder="1" applyAlignment="1">
      <alignment horizontal="left"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27" fillId="4" borderId="25" xfId="0" applyFont="1" applyFill="1" applyBorder="1" applyAlignment="1">
      <alignment horizontal="left"/>
    </xf>
    <xf numFmtId="0" fontId="0" fillId="4" borderId="22" xfId="0" applyFont="1" applyFill="1" applyBorder="1" applyAlignment="1">
      <alignment/>
    </xf>
    <xf numFmtId="0" fontId="27" fillId="4" borderId="22" xfId="0" applyFont="1" applyFill="1" applyBorder="1" applyAlignment="1">
      <alignment horizontal="left"/>
    </xf>
    <xf numFmtId="0" fontId="20" fillId="4" borderId="21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23" fillId="25" borderId="14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/>
    </xf>
    <xf numFmtId="10" fontId="22" fillId="27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10" fontId="18" fillId="0" borderId="0" xfId="50" applyNumberFormat="1" applyFont="1" applyFill="1" applyBorder="1" applyAlignment="1">
      <alignment/>
    </xf>
    <xf numFmtId="171" fontId="18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0" fillId="28" borderId="11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/>
    </xf>
    <xf numFmtId="0" fontId="24" fillId="4" borderId="27" xfId="0" applyFont="1" applyFill="1" applyBorder="1" applyAlignment="1">
      <alignment horizontal="center"/>
    </xf>
    <xf numFmtId="0" fontId="24" fillId="4" borderId="28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4" fillId="4" borderId="31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0" fontId="20" fillId="25" borderId="32" xfId="0" applyFont="1" applyFill="1" applyBorder="1" applyAlignment="1">
      <alignment horizontal="center"/>
    </xf>
    <xf numFmtId="0" fontId="20" fillId="25" borderId="33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/>
    </xf>
    <xf numFmtId="0" fontId="20" fillId="8" borderId="32" xfId="0" applyFont="1" applyFill="1" applyBorder="1" applyAlignment="1">
      <alignment horizontal="center"/>
    </xf>
    <xf numFmtId="0" fontId="20" fillId="8" borderId="33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3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5.7109375" style="1" customWidth="1"/>
    <col min="4" max="4" width="17.421875" style="1" customWidth="1"/>
    <col min="5" max="6" width="17.421875" style="1" bestFit="1" customWidth="1"/>
    <col min="7" max="7" width="17.140625" style="1" customWidth="1"/>
    <col min="8" max="9" width="17.140625" style="1" bestFit="1" customWidth="1"/>
    <col min="10" max="10" width="3.421875" style="1" customWidth="1"/>
    <col min="11" max="11" width="9.140625" style="1" customWidth="1"/>
    <col min="12" max="12" width="9.28125" style="1" bestFit="1" customWidth="1"/>
    <col min="13" max="16384" width="9.140625" style="1" customWidth="1"/>
  </cols>
  <sheetData>
    <row r="1" ht="12.75" thickBot="1"/>
    <row r="2" spans="3:9" s="2" customFormat="1" ht="12">
      <c r="C2" s="72" t="s">
        <v>32</v>
      </c>
      <c r="D2" s="73"/>
      <c r="E2" s="73"/>
      <c r="F2" s="73"/>
      <c r="G2" s="73"/>
      <c r="H2" s="73"/>
      <c r="I2" s="74"/>
    </row>
    <row r="3" spans="3:9" ht="12.75" thickBot="1">
      <c r="C3" s="75"/>
      <c r="D3" s="76"/>
      <c r="E3" s="76"/>
      <c r="F3" s="76"/>
      <c r="G3" s="76"/>
      <c r="H3" s="76"/>
      <c r="I3" s="77"/>
    </row>
    <row r="4" spans="3:9" ht="15.75" thickBot="1">
      <c r="C4" s="59"/>
      <c r="D4" s="78" t="s">
        <v>0</v>
      </c>
      <c r="E4" s="79"/>
      <c r="F4" s="80"/>
      <c r="G4" s="81" t="s">
        <v>1</v>
      </c>
      <c r="H4" s="82"/>
      <c r="I4" s="83"/>
    </row>
    <row r="5" spans="3:9" ht="50.25" customHeight="1" thickBot="1">
      <c r="C5" s="48" t="s">
        <v>2</v>
      </c>
      <c r="D5" s="26" t="s">
        <v>41</v>
      </c>
      <c r="E5" s="26" t="s">
        <v>40</v>
      </c>
      <c r="F5" s="26" t="s">
        <v>42</v>
      </c>
      <c r="G5" s="71" t="s">
        <v>43</v>
      </c>
      <c r="H5" s="28" t="s">
        <v>40</v>
      </c>
      <c r="I5" s="71" t="s">
        <v>5</v>
      </c>
    </row>
    <row r="6" spans="3:9" ht="15">
      <c r="C6" s="49" t="s">
        <v>6</v>
      </c>
      <c r="D6" s="10">
        <v>2000000</v>
      </c>
      <c r="E6" s="3"/>
      <c r="F6" s="3"/>
      <c r="G6" s="29">
        <f>D6</f>
        <v>2000000</v>
      </c>
      <c r="H6" s="29">
        <f>D6</f>
        <v>2000000</v>
      </c>
      <c r="I6" s="30">
        <f>D6</f>
        <v>2000000</v>
      </c>
    </row>
    <row r="7" spans="3:9" ht="15.75" thickBot="1">
      <c r="C7" s="50" t="s">
        <v>7</v>
      </c>
      <c r="D7" s="11">
        <v>30</v>
      </c>
      <c r="E7" s="3">
        <f>D7</f>
        <v>30</v>
      </c>
      <c r="F7" s="3">
        <f>D7</f>
        <v>30</v>
      </c>
      <c r="G7" s="29"/>
      <c r="H7" s="29"/>
      <c r="I7" s="30"/>
    </row>
    <row r="8" spans="3:9" ht="15.75" thickBot="1">
      <c r="C8" s="51" t="s">
        <v>34</v>
      </c>
      <c r="D8" s="12">
        <v>0.03</v>
      </c>
      <c r="E8" s="4">
        <v>0.035</v>
      </c>
      <c r="F8" s="4">
        <v>0.035</v>
      </c>
      <c r="G8" s="29">
        <f>+G6*D8/30*D7</f>
        <v>60000</v>
      </c>
      <c r="H8" s="29">
        <f>+H6*E8/30*E7</f>
        <v>70000</v>
      </c>
      <c r="I8" s="30">
        <f>+I6*F8/30*F7</f>
        <v>70000</v>
      </c>
    </row>
    <row r="9" spans="3:9" ht="15.75" thickBot="1">
      <c r="C9" s="51" t="s">
        <v>8</v>
      </c>
      <c r="D9" s="12">
        <v>0.005</v>
      </c>
      <c r="E9" s="4"/>
      <c r="F9" s="4"/>
      <c r="G9" s="29">
        <f>+G6*D9</f>
        <v>10000</v>
      </c>
      <c r="H9" s="29">
        <f>+H6*E9</f>
        <v>0</v>
      </c>
      <c r="I9" s="30">
        <f>+I6*F9</f>
        <v>0</v>
      </c>
    </row>
    <row r="10" spans="3:9" ht="15.75" thickBot="1">
      <c r="C10" s="51" t="s">
        <v>9</v>
      </c>
      <c r="D10" s="3"/>
      <c r="E10" s="3"/>
      <c r="F10" s="3"/>
      <c r="G10" s="31">
        <f>G8+G9</f>
        <v>70000</v>
      </c>
      <c r="H10" s="31">
        <f>IF(H8&gt;1200000,"FORA DO LIMITE",H8+H9)</f>
        <v>70000</v>
      </c>
      <c r="I10" s="31">
        <f>IF(I8&gt;1200000,"FORA DO LIMITE",I8+I9)</f>
        <v>70000</v>
      </c>
    </row>
    <row r="11" spans="3:9" ht="15.75" thickBot="1">
      <c r="C11" s="51" t="s">
        <v>38</v>
      </c>
      <c r="D11" s="13">
        <f>0.005/360</f>
        <v>1.388888888888889E-05</v>
      </c>
      <c r="E11" s="6">
        <f>D11</f>
        <v>1.388888888888889E-05</v>
      </c>
      <c r="F11" s="6">
        <f>D11</f>
        <v>1.388888888888889E-05</v>
      </c>
      <c r="G11" s="31">
        <f>(G6-G8)*D11*D7</f>
        <v>808.3333333333334</v>
      </c>
      <c r="H11" s="31">
        <f>(H6-H8)*E11*E7</f>
        <v>804.1666666666667</v>
      </c>
      <c r="I11" s="31">
        <f>(I6-I8)*F11*F7</f>
        <v>804.1666666666667</v>
      </c>
    </row>
    <row r="12" spans="3:9" ht="15.75" thickBot="1">
      <c r="C12" s="51" t="s">
        <v>35</v>
      </c>
      <c r="D12" s="13">
        <v>0.0038</v>
      </c>
      <c r="E12" s="6">
        <f>D12</f>
        <v>0.0038</v>
      </c>
      <c r="F12" s="6">
        <f>D12</f>
        <v>0.0038</v>
      </c>
      <c r="G12" s="31">
        <f>(G6-G10)*D12</f>
        <v>7334</v>
      </c>
      <c r="H12" s="31">
        <f>(H6-H10)*E12</f>
        <v>7334</v>
      </c>
      <c r="I12" s="31">
        <f>(I6-I10)*F12</f>
        <v>7334</v>
      </c>
    </row>
    <row r="13" spans="3:9" ht="15.75" thickBot="1">
      <c r="C13" s="51" t="s">
        <v>10</v>
      </c>
      <c r="D13" s="3"/>
      <c r="E13" s="3"/>
      <c r="F13" s="3"/>
      <c r="G13" s="31">
        <f>+G6-G10-G11-G12</f>
        <v>1921857.6666666667</v>
      </c>
      <c r="H13" s="31">
        <f>IF(H8&gt;1200000,"FORA DO LIMITE",H6-H10-H11-H12)</f>
        <v>1921861.8333333333</v>
      </c>
      <c r="I13" s="31">
        <f>IF(I8&gt;1200000,"FORA DO LIMITE",I6-I10-I11-I12)</f>
        <v>1921861.8333333333</v>
      </c>
    </row>
    <row r="14" spans="3:9" ht="15">
      <c r="C14" s="52" t="s">
        <v>11</v>
      </c>
      <c r="D14" s="14">
        <v>0.32</v>
      </c>
      <c r="E14" s="7">
        <f>D14</f>
        <v>0.32</v>
      </c>
      <c r="F14" s="7">
        <f>D14</f>
        <v>0.32</v>
      </c>
      <c r="G14" s="29">
        <f>+G10*D14</f>
        <v>22400</v>
      </c>
      <c r="H14" s="29">
        <f>IF(H8&gt;1200000,"FORA DO LIMITE",+H10*E14)</f>
        <v>22400</v>
      </c>
      <c r="I14" s="29">
        <f>IF(I8&gt;1200000,"FORA DO LIMITE",+I10*F14)</f>
        <v>22400</v>
      </c>
    </row>
    <row r="15" spans="3:9" ht="15.75" thickBot="1">
      <c r="C15" s="52" t="s">
        <v>12</v>
      </c>
      <c r="D15" s="15">
        <v>0.18</v>
      </c>
      <c r="E15" s="8">
        <f>D15</f>
        <v>0.18</v>
      </c>
      <c r="F15" s="8">
        <f>D15</f>
        <v>0.18</v>
      </c>
      <c r="G15" s="29">
        <f>+G10*D15</f>
        <v>12600</v>
      </c>
      <c r="H15" s="29">
        <f>IF(H8&gt;1200000,"FORA DO LIMITE",+H10*E15)</f>
        <v>12600</v>
      </c>
      <c r="I15" s="29">
        <f>IF(I8&gt;1200000,"FORA DO LIMITE",+I10*F15)</f>
        <v>12600</v>
      </c>
    </row>
    <row r="16" spans="3:9" ht="15.75" thickBot="1">
      <c r="C16" s="53" t="s">
        <v>13</v>
      </c>
      <c r="D16" s="19">
        <f>SUM(D14:D15)</f>
        <v>0.5</v>
      </c>
      <c r="E16" s="19">
        <f>SUM(E14:E15)</f>
        <v>0.5</v>
      </c>
      <c r="F16" s="19">
        <f>SUM(F14:F15)</f>
        <v>0.5</v>
      </c>
      <c r="G16" s="34">
        <f>+G10-G14-G15</f>
        <v>35000</v>
      </c>
      <c r="H16" s="34">
        <f>+H10-H14-H15</f>
        <v>35000</v>
      </c>
      <c r="I16" s="34">
        <f>+I10-I14-I15</f>
        <v>35000</v>
      </c>
    </row>
    <row r="17" spans="3:9" ht="15">
      <c r="C17" s="54"/>
      <c r="D17" s="9"/>
      <c r="E17" s="9"/>
      <c r="F17" s="9"/>
      <c r="G17" s="35"/>
      <c r="H17" s="36"/>
      <c r="I17" s="37"/>
    </row>
    <row r="18" spans="3:9" ht="15.75" thickBot="1">
      <c r="C18" s="55" t="s">
        <v>14</v>
      </c>
      <c r="D18" s="5">
        <f>G10</f>
        <v>70000</v>
      </c>
      <c r="E18" s="5">
        <f>H10</f>
        <v>70000</v>
      </c>
      <c r="F18" s="5">
        <f>I10</f>
        <v>70000</v>
      </c>
      <c r="G18" s="31"/>
      <c r="H18" s="38"/>
      <c r="I18" s="39"/>
    </row>
    <row r="19" spans="3:9" ht="15.75" thickBot="1">
      <c r="C19" s="51" t="s">
        <v>15</v>
      </c>
      <c r="D19" s="12">
        <v>0.0925</v>
      </c>
      <c r="E19" s="12">
        <v>0.0365</v>
      </c>
      <c r="F19" s="12">
        <v>0.0925</v>
      </c>
      <c r="G19" s="29">
        <f>D18*D19-D20</f>
        <v>6475</v>
      </c>
      <c r="H19" s="29">
        <f>IF(H8&gt;1200000,"FORA DO LIMITE",E18*E19-E20)</f>
        <v>2555</v>
      </c>
      <c r="I19" s="29">
        <f>IF(I8&gt;1200000,"FORA DO LIMITE",F18*F19-F20)</f>
        <v>6475</v>
      </c>
    </row>
    <row r="20" spans="3:9" ht="15.75" thickBot="1">
      <c r="C20" s="51" t="s">
        <v>16</v>
      </c>
      <c r="D20" s="4"/>
      <c r="E20" s="4"/>
      <c r="F20" s="4"/>
      <c r="G20" s="29"/>
      <c r="H20" s="38"/>
      <c r="I20" s="39"/>
    </row>
    <row r="21" spans="3:9" ht="15.75" thickBot="1">
      <c r="C21" s="51" t="s">
        <v>17</v>
      </c>
      <c r="D21" s="5">
        <f>G9</f>
        <v>10000</v>
      </c>
      <c r="E21" s="5"/>
      <c r="F21" s="5"/>
      <c r="G21" s="38"/>
      <c r="H21" s="38"/>
      <c r="I21" s="39"/>
    </row>
    <row r="22" spans="3:9" ht="15.75" thickBot="1">
      <c r="C22" s="51" t="s">
        <v>18</v>
      </c>
      <c r="D22" s="12">
        <v>0.05</v>
      </c>
      <c r="E22" s="4"/>
      <c r="F22" s="4"/>
      <c r="G22" s="31">
        <f>D21*D22-D23</f>
        <v>500</v>
      </c>
      <c r="H22" s="31">
        <f>IF(H8&gt;1200000,"FORA DO LIMITE",E21*E22-E23)</f>
        <v>0</v>
      </c>
      <c r="I22" s="31">
        <f>IF(I8&gt;1200000,"FORA DO LIMITE",F21*F22-F23)</f>
        <v>0</v>
      </c>
    </row>
    <row r="23" spans="3:9" ht="15.75" thickBot="1">
      <c r="C23" s="51" t="s">
        <v>16</v>
      </c>
      <c r="D23" s="16"/>
      <c r="E23" s="16"/>
      <c r="F23" s="16"/>
      <c r="G23" s="32"/>
      <c r="H23" s="40"/>
      <c r="I23" s="41"/>
    </row>
    <row r="24" spans="3:9" ht="15.75" thickBot="1">
      <c r="C24" s="53" t="s">
        <v>19</v>
      </c>
      <c r="D24" s="18"/>
      <c r="E24" s="18"/>
      <c r="F24" s="18"/>
      <c r="G24" s="34">
        <f>G16-G19-G22</f>
        <v>28025</v>
      </c>
      <c r="H24" s="34">
        <f>IF(H8&gt;1200000,"FORA DO LIMITE",H16-H19-H22)</f>
        <v>32445</v>
      </c>
      <c r="I24" s="34">
        <f>IF(I8&gt;1200000,"FORA DO LIMITE",I16-I19-I22)</f>
        <v>28525</v>
      </c>
    </row>
    <row r="25" spans="3:9" ht="15.75" thickBot="1">
      <c r="C25" s="56" t="s">
        <v>44</v>
      </c>
      <c r="D25" s="17">
        <v>0.32</v>
      </c>
      <c r="E25" s="21">
        <v>0.384</v>
      </c>
      <c r="F25" s="17">
        <v>0.384</v>
      </c>
      <c r="G25" s="35"/>
      <c r="H25" s="36"/>
      <c r="I25" s="37"/>
    </row>
    <row r="26" spans="3:9" ht="15">
      <c r="C26" s="57" t="s">
        <v>20</v>
      </c>
      <c r="D26" s="5">
        <f>IF(G24&lt;=0,0,G24)</f>
        <v>28025</v>
      </c>
      <c r="E26" s="20">
        <f>+H10*E25</f>
        <v>26880</v>
      </c>
      <c r="F26" s="5">
        <f>IF(I24&lt;=0,0,I24)</f>
        <v>28525</v>
      </c>
      <c r="G26" s="29"/>
      <c r="H26" s="38"/>
      <c r="I26" s="39"/>
    </row>
    <row r="27" spans="3:9" ht="15.75" thickBot="1">
      <c r="C27" s="52" t="s">
        <v>15</v>
      </c>
      <c r="D27" s="12">
        <v>0.15</v>
      </c>
      <c r="E27" s="4">
        <f>D27</f>
        <v>0.15</v>
      </c>
      <c r="F27" s="4">
        <f>D27</f>
        <v>0.15</v>
      </c>
      <c r="G27" s="29">
        <f>D26*D27</f>
        <v>4203.75</v>
      </c>
      <c r="H27" s="29">
        <f>E26*E27</f>
        <v>4032</v>
      </c>
      <c r="I27" s="30">
        <f>F26*F27</f>
        <v>4278.75</v>
      </c>
    </row>
    <row r="28" spans="3:9" ht="15.75" thickBot="1">
      <c r="C28" s="51" t="s">
        <v>47</v>
      </c>
      <c r="D28" s="12">
        <v>0.1</v>
      </c>
      <c r="E28" s="4">
        <f>D28</f>
        <v>0.1</v>
      </c>
      <c r="F28" s="4">
        <f>D28</f>
        <v>0.1</v>
      </c>
      <c r="G28" s="29">
        <f>IF(D26&lt;=20000,0,(D26-20000)*D28)</f>
        <v>802.5</v>
      </c>
      <c r="H28" s="29">
        <f>(E26-20000)*E28</f>
        <v>688</v>
      </c>
      <c r="I28" s="30">
        <f>IF(F26&lt;=20000,0,(F26-20000)*F28)</f>
        <v>852.5</v>
      </c>
    </row>
    <row r="29" spans="3:9" ht="15.75" thickBot="1">
      <c r="C29" s="51" t="s">
        <v>21</v>
      </c>
      <c r="D29" s="4">
        <f>G29/D26</f>
        <v>0.17863514719000892</v>
      </c>
      <c r="E29" s="4">
        <f>H29/E26</f>
        <v>0.17559523809523808</v>
      </c>
      <c r="F29" s="4">
        <f>I29/F26</f>
        <v>0.17988606485539002</v>
      </c>
      <c r="G29" s="31">
        <f>+G28+G27</f>
        <v>5006.25</v>
      </c>
      <c r="H29" s="31">
        <f>+H28+H27</f>
        <v>4720</v>
      </c>
      <c r="I29" s="42">
        <f>+I28+I27</f>
        <v>5131.25</v>
      </c>
    </row>
    <row r="30" spans="3:9" ht="15.75" thickBot="1">
      <c r="C30" s="51" t="s">
        <v>22</v>
      </c>
      <c r="D30" s="5">
        <f>D26</f>
        <v>28025</v>
      </c>
      <c r="E30" s="5">
        <f>E26</f>
        <v>26880</v>
      </c>
      <c r="F30" s="5">
        <f>F26</f>
        <v>28525</v>
      </c>
      <c r="G30" s="31"/>
      <c r="H30" s="38"/>
      <c r="I30" s="39"/>
    </row>
    <row r="31" spans="3:9" ht="15.75" thickBot="1">
      <c r="C31" s="51" t="s">
        <v>15</v>
      </c>
      <c r="D31" s="12">
        <v>0.09</v>
      </c>
      <c r="E31" s="4">
        <f>D31</f>
        <v>0.09</v>
      </c>
      <c r="F31" s="4">
        <f>D31</f>
        <v>0.09</v>
      </c>
      <c r="G31" s="29">
        <f>D30*D31</f>
        <v>2522.25</v>
      </c>
      <c r="H31" s="29">
        <f>E30*E31</f>
        <v>2419.2</v>
      </c>
      <c r="I31" s="30">
        <f>F30*F31</f>
        <v>2567.25</v>
      </c>
    </row>
    <row r="32" spans="3:9" ht="15.75" thickBot="1">
      <c r="C32" s="51" t="s">
        <v>23</v>
      </c>
      <c r="D32" s="4"/>
      <c r="E32" s="4"/>
      <c r="F32" s="4"/>
      <c r="G32" s="29"/>
      <c r="H32" s="29"/>
      <c r="I32" s="30"/>
    </row>
    <row r="33" spans="3:9" ht="15.75" thickBot="1">
      <c r="C33" s="52" t="s">
        <v>24</v>
      </c>
      <c r="D33" s="16">
        <f>G33/G10</f>
        <v>0.10755</v>
      </c>
      <c r="E33" s="16">
        <f>H33/H10</f>
        <v>0.10198857142857143</v>
      </c>
      <c r="F33" s="16">
        <f>I33/I10</f>
        <v>0.10997857142857143</v>
      </c>
      <c r="G33" s="32">
        <f>G29+G31+G32</f>
        <v>7528.5</v>
      </c>
      <c r="H33" s="32">
        <f>H29+H31+H32</f>
        <v>7139.2</v>
      </c>
      <c r="I33" s="33">
        <f>I29+I31+I32</f>
        <v>7698.5</v>
      </c>
    </row>
    <row r="34" spans="3:9" ht="15.75" thickBot="1">
      <c r="C34" s="53" t="s">
        <v>25</v>
      </c>
      <c r="D34" s="18">
        <f>G34/G10</f>
        <v>0.2928071428571429</v>
      </c>
      <c r="E34" s="18">
        <f>H34/H10</f>
        <v>0.36151142857142854</v>
      </c>
      <c r="F34" s="18">
        <f>I34/I10</f>
        <v>0.29752142857142855</v>
      </c>
      <c r="G34" s="34">
        <f>G24-G33</f>
        <v>20496.5</v>
      </c>
      <c r="H34" s="34">
        <f>H24-H33</f>
        <v>25305.8</v>
      </c>
      <c r="I34" s="43">
        <f>I24-I33</f>
        <v>20826.5</v>
      </c>
    </row>
    <row r="35" spans="3:9" ht="15.75" thickBot="1">
      <c r="C35" s="58"/>
      <c r="D35" s="23"/>
      <c r="E35" s="23"/>
      <c r="F35" s="23"/>
      <c r="G35" s="44"/>
      <c r="H35" s="45"/>
      <c r="I35" s="46"/>
    </row>
    <row r="36" spans="3:9" ht="15.75" thickBot="1">
      <c r="C36" s="53" t="s">
        <v>37</v>
      </c>
      <c r="D36" s="18">
        <f>G36/G10</f>
        <v>0.3235119047619047</v>
      </c>
      <c r="E36" s="18">
        <f>H36/H10</f>
        <v>0.2547480952380953</v>
      </c>
      <c r="F36" s="18">
        <f>I36/I10</f>
        <v>0.31873809523809526</v>
      </c>
      <c r="G36" s="47">
        <f>G11+G12+G19+G22+G33</f>
        <v>22645.833333333332</v>
      </c>
      <c r="H36" s="47">
        <f>H11+H12+H19+H22+H33</f>
        <v>17832.36666666667</v>
      </c>
      <c r="I36" s="47">
        <f>I11+I12+I19+I22+I33</f>
        <v>22311.666666666668</v>
      </c>
    </row>
    <row r="37" spans="3:9" ht="15.75" thickBot="1">
      <c r="C37" s="58"/>
      <c r="D37" s="22"/>
      <c r="E37" s="22"/>
      <c r="F37" s="22"/>
      <c r="G37" s="45"/>
      <c r="H37" s="45"/>
      <c r="I37" s="46"/>
    </row>
    <row r="38" spans="3:9" ht="15.75" thickBot="1">
      <c r="C38" s="53" t="s">
        <v>26</v>
      </c>
      <c r="D38" s="18">
        <f>G38/G10</f>
        <v>0.20719285714285712</v>
      </c>
      <c r="E38" s="18">
        <f>H38/H10</f>
        <v>0.13848857142857146</v>
      </c>
      <c r="F38" s="18">
        <f>I38/I10</f>
        <v>0.20247857142857145</v>
      </c>
      <c r="G38" s="47">
        <f>+G36-G12-G11</f>
        <v>14503.499999999998</v>
      </c>
      <c r="H38" s="47">
        <f>+H36-H12-H11</f>
        <v>9694.200000000003</v>
      </c>
      <c r="I38" s="47">
        <f>+I36-I12-I11</f>
        <v>14173.500000000002</v>
      </c>
    </row>
    <row r="39" spans="2:9" s="70" customFormat="1" ht="15">
      <c r="B39" s="66"/>
      <c r="C39" s="67" t="s">
        <v>45</v>
      </c>
      <c r="D39" s="68"/>
      <c r="E39" s="68"/>
      <c r="F39" s="68"/>
      <c r="G39" s="69"/>
      <c r="H39" s="69"/>
      <c r="I39" s="69"/>
    </row>
    <row r="40" spans="2:9" s="70" customFormat="1" ht="15">
      <c r="B40" s="66"/>
      <c r="C40" s="67" t="s">
        <v>39</v>
      </c>
      <c r="D40" s="68"/>
      <c r="E40" s="68"/>
      <c r="F40" s="68"/>
      <c r="G40" s="69"/>
      <c r="H40" s="69"/>
      <c r="I40" s="69"/>
    </row>
    <row r="41" spans="2:9" s="70" customFormat="1" ht="15">
      <c r="B41" s="66"/>
      <c r="C41" s="67" t="s">
        <v>36</v>
      </c>
      <c r="D41" s="68"/>
      <c r="E41" s="68"/>
      <c r="F41" s="68"/>
      <c r="G41" s="69"/>
      <c r="H41" s="69"/>
      <c r="I41" s="69"/>
    </row>
    <row r="42" spans="2:9" s="70" customFormat="1" ht="15">
      <c r="B42" s="66"/>
      <c r="C42" s="67" t="s">
        <v>46</v>
      </c>
      <c r="D42" s="68"/>
      <c r="E42" s="68"/>
      <c r="F42" s="68"/>
      <c r="G42" s="69"/>
      <c r="H42" s="69"/>
      <c r="I42" s="69"/>
    </row>
    <row r="43" spans="2:9" s="70" customFormat="1" ht="15">
      <c r="B43" s="66"/>
      <c r="D43" s="68"/>
      <c r="E43" s="68"/>
      <c r="F43" s="68"/>
      <c r="G43" s="69"/>
      <c r="H43" s="69"/>
      <c r="I43" s="69"/>
    </row>
    <row r="44" spans="2:9" s="70" customFormat="1" ht="15">
      <c r="B44" s="66"/>
      <c r="D44" s="68"/>
      <c r="E44" s="68"/>
      <c r="F44" s="68"/>
      <c r="G44" s="69"/>
      <c r="H44" s="69"/>
      <c r="I44" s="69"/>
    </row>
    <row r="45" spans="3:9" s="2" customFormat="1" ht="15.75" thickBot="1">
      <c r="C45" s="60"/>
      <c r="D45" s="61"/>
      <c r="E45" s="61"/>
      <c r="F45" s="61"/>
      <c r="G45" s="61"/>
      <c r="H45" s="61"/>
      <c r="I45" s="61"/>
    </row>
    <row r="46" spans="3:6" ht="78.75" thickBot="1">
      <c r="C46" s="62" t="s">
        <v>2</v>
      </c>
      <c r="D46" s="62" t="s">
        <v>3</v>
      </c>
      <c r="E46" s="63" t="s">
        <v>4</v>
      </c>
      <c r="F46" s="62" t="s">
        <v>5</v>
      </c>
    </row>
    <row r="47" spans="3:6" ht="34.5" thickBot="1">
      <c r="C47" s="84" t="s">
        <v>27</v>
      </c>
      <c r="D47" s="85"/>
      <c r="E47" s="85"/>
      <c r="F47" s="86"/>
    </row>
    <row r="48" spans="3:6" ht="33.75">
      <c r="C48" s="24" t="s">
        <v>29</v>
      </c>
      <c r="D48" s="25">
        <f>G19/G10</f>
        <v>0.0925</v>
      </c>
      <c r="E48" s="25">
        <f>H19/H10</f>
        <v>0.0365</v>
      </c>
      <c r="F48" s="25">
        <f>I19/I10</f>
        <v>0.0925</v>
      </c>
    </row>
    <row r="49" spans="3:6" ht="33.75">
      <c r="C49" s="24" t="s">
        <v>17</v>
      </c>
      <c r="D49" s="25">
        <f>G22/G10</f>
        <v>0.007142857142857143</v>
      </c>
      <c r="E49" s="25">
        <f>H22/H10</f>
        <v>0</v>
      </c>
      <c r="F49" s="25">
        <f>I22/I10</f>
        <v>0</v>
      </c>
    </row>
    <row r="50" spans="3:6" ht="33.75">
      <c r="C50" s="24" t="s">
        <v>30</v>
      </c>
      <c r="D50" s="25">
        <f>G33/G10</f>
        <v>0.10755</v>
      </c>
      <c r="E50" s="25">
        <f>H33/H10</f>
        <v>0.10198857142857143</v>
      </c>
      <c r="F50" s="25">
        <f>I33/I10</f>
        <v>0.10997857142857143</v>
      </c>
    </row>
    <row r="51" spans="3:6" ht="33.75">
      <c r="C51" s="64" t="s">
        <v>31</v>
      </c>
      <c r="D51" s="65">
        <f>SUM(D48:D50)</f>
        <v>0.20719285714285715</v>
      </c>
      <c r="E51" s="65">
        <f>SUM(E48:E50)</f>
        <v>0.13848857142857143</v>
      </c>
      <c r="F51" s="65">
        <f>SUM(F48:F50)</f>
        <v>0.20247857142857142</v>
      </c>
    </row>
    <row r="52" spans="3:6" ht="33.75">
      <c r="C52" s="24" t="s">
        <v>28</v>
      </c>
      <c r="D52" s="25">
        <f>(G11+G12)/G10</f>
        <v>0.11631904761904761</v>
      </c>
      <c r="E52" s="25">
        <f>(H11+H12)/H10</f>
        <v>0.11625952380952381</v>
      </c>
      <c r="F52" s="25">
        <f>(I11+I12)/I10</f>
        <v>0.11625952380952381</v>
      </c>
    </row>
    <row r="53" spans="3:6" ht="33.75">
      <c r="C53" s="27" t="s">
        <v>33</v>
      </c>
      <c r="D53" s="25">
        <f>D51+D52</f>
        <v>0.3235119047619048</v>
      </c>
      <c r="E53" s="25">
        <f>E51+E52</f>
        <v>0.2547480952380953</v>
      </c>
      <c r="F53" s="25">
        <f>F51+F52</f>
        <v>0.31873809523809526</v>
      </c>
    </row>
  </sheetData>
  <sheetProtection/>
  <mergeCells count="4">
    <mergeCell ref="C2:I3"/>
    <mergeCell ref="D4:F4"/>
    <mergeCell ref="G4:I4"/>
    <mergeCell ref="C47:F47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HBJ</dc:creator>
  <cp:keywords/>
  <dc:description/>
  <cp:lastModifiedBy>Flavio dos Santos Jacinto de Royo - 1810340</cp:lastModifiedBy>
  <cp:lastPrinted>2019-05-22T20:01:55Z</cp:lastPrinted>
  <dcterms:created xsi:type="dcterms:W3CDTF">2015-07-23T14:06:41Z</dcterms:created>
  <dcterms:modified xsi:type="dcterms:W3CDTF">2019-10-28T14:03:17Z</dcterms:modified>
  <cp:category/>
  <cp:version/>
  <cp:contentType/>
  <cp:contentStatus/>
</cp:coreProperties>
</file>